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<sst xmlns="http://schemas.openxmlformats.org/spreadsheetml/2006/main" count="1235" uniqueCount="291">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</sst>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289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285</v>
      </c>
      <c r="N3" s="244" t="s">
        <v>286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282</v>
      </c>
      <c r="F4" s="227" t="s">
        <v>116</v>
      </c>
      <c r="G4" s="229" t="s">
        <v>283</v>
      </c>
      <c r="H4" s="231" t="s">
        <v>284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290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287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329041.58</v>
      </c>
      <c r="G8" s="18">
        <f aca="true" t="shared" si="0" ref="G8:G54">F8-E8</f>
        <v>693.1800000000512</v>
      </c>
      <c r="H8" s="45">
        <f>F8/E8*100</f>
        <v>100.21111112464689</v>
      </c>
      <c r="I8" s="31">
        <f aca="true" t="shared" si="1" ref="I8:I54">F8-D8</f>
        <v>-188387.41999999998</v>
      </c>
      <c r="J8" s="31">
        <f aca="true" t="shared" si="2" ref="J8:J14">F8/D8*100</f>
        <v>63.59163865960355</v>
      </c>
      <c r="K8" s="18">
        <f>K9+K15+K18+K19+K20+K32</f>
        <v>51730.35400000001</v>
      </c>
      <c r="L8" s="18"/>
      <c r="M8" s="18">
        <f>M9+M15+M18+M19+M20+M32+M17</f>
        <v>46752</v>
      </c>
      <c r="N8" s="18">
        <f>N9+N15+N18+N19+N20+N32+N17</f>
        <v>23922.46499999997</v>
      </c>
      <c r="O8" s="31">
        <f aca="true" t="shared" si="3" ref="O8:O54">N8-M8</f>
        <v>-22829.53500000003</v>
      </c>
      <c r="P8" s="31">
        <f>F8/M8*100</f>
        <v>703.8021475017111</v>
      </c>
      <c r="Q8" s="31">
        <f>N8-33748.16</f>
        <v>-9825.695000000032</v>
      </c>
      <c r="R8" s="125">
        <f>N8/33748.16</f>
        <v>0.7088524233617468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188081.37</v>
      </c>
      <c r="G9" s="43">
        <f t="shared" si="0"/>
        <v>-223.27999999999884</v>
      </c>
      <c r="H9" s="35">
        <f aca="true" t="shared" si="4" ref="H9:H32">F9/E9*100</f>
        <v>99.88142618889124</v>
      </c>
      <c r="I9" s="50">
        <f t="shared" si="1"/>
        <v>-124608.63</v>
      </c>
      <c r="J9" s="50">
        <f t="shared" si="2"/>
        <v>60.14946752374556</v>
      </c>
      <c r="K9" s="132">
        <f>F9-217885.62/75*60</f>
        <v>13772.87400000001</v>
      </c>
      <c r="L9" s="132">
        <f>F9/(217885.62/75*60)*100</f>
        <v>107.90143585427987</v>
      </c>
      <c r="M9" s="35">
        <f>E9-червень!E9</f>
        <v>28146</v>
      </c>
      <c r="N9" s="35">
        <f>F9-червень!F9</f>
        <v>16701.649999999994</v>
      </c>
      <c r="O9" s="47">
        <f t="shared" si="3"/>
        <v>-11444.350000000006</v>
      </c>
      <c r="P9" s="50">
        <f aca="true" t="shared" si="5" ref="P9:P32">N9/M9*100</f>
        <v>59.339337738932684</v>
      </c>
      <c r="Q9" s="132">
        <f>N9-26568.11</f>
        <v>-9866.460000000006</v>
      </c>
      <c r="R9" s="133">
        <f>N9/26568.11</f>
        <v>0.6286352322389509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166883.15</v>
      </c>
      <c r="G10" s="135">
        <f t="shared" si="0"/>
        <v>1652.8999999999942</v>
      </c>
      <c r="H10" s="137">
        <f t="shared" si="4"/>
        <v>101.0003616165926</v>
      </c>
      <c r="I10" s="136">
        <f t="shared" si="1"/>
        <v>-73526.85</v>
      </c>
      <c r="J10" s="136">
        <f t="shared" si="2"/>
        <v>69.41606006405723</v>
      </c>
      <c r="K10" s="138">
        <f>F10-193695.6/75*60</f>
        <v>11926.669999999984</v>
      </c>
      <c r="L10" s="138">
        <f>F10/(193695.6/75*60)*100</f>
        <v>107.69678686557668</v>
      </c>
      <c r="M10" s="35">
        <f>E10-червень!E10</f>
        <v>23736</v>
      </c>
      <c r="N10" s="35">
        <f>F10-червень!F10</f>
        <v>14656.25</v>
      </c>
      <c r="O10" s="138">
        <f t="shared" si="3"/>
        <v>-9079.75</v>
      </c>
      <c r="P10" s="136">
        <f t="shared" si="5"/>
        <v>61.74692450286484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9655.09</v>
      </c>
      <c r="G11" s="135">
        <f t="shared" si="0"/>
        <v>-3052.91</v>
      </c>
      <c r="H11" s="137">
        <f t="shared" si="4"/>
        <v>75.97647151400693</v>
      </c>
      <c r="I11" s="136">
        <f t="shared" si="1"/>
        <v>-14044.91</v>
      </c>
      <c r="J11" s="136">
        <f t="shared" si="2"/>
        <v>40.73877637130801</v>
      </c>
      <c r="K11" s="138">
        <f>F11-13818.75/75*60</f>
        <v>-1399.9099999999999</v>
      </c>
      <c r="L11" s="138">
        <f>F11/(13818.75/75*60)*100</f>
        <v>87.33686114880145</v>
      </c>
      <c r="M11" s="35">
        <f>E11-червень!E11</f>
        <v>1920</v>
      </c>
      <c r="N11" s="35">
        <f>F11-червень!F11</f>
        <v>441.9899999999998</v>
      </c>
      <c r="O11" s="138">
        <f t="shared" si="3"/>
        <v>-1478.0100000000002</v>
      </c>
      <c r="P11" s="136">
        <f t="shared" si="5"/>
        <v>23.02031249999999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2815.85</v>
      </c>
      <c r="G12" s="135">
        <f t="shared" si="0"/>
        <v>-13.150000000000091</v>
      </c>
      <c r="H12" s="137">
        <f t="shared" si="4"/>
        <v>99.53517143867091</v>
      </c>
      <c r="I12" s="136">
        <f t="shared" si="1"/>
        <v>-2984.15</v>
      </c>
      <c r="J12" s="136">
        <f t="shared" si="2"/>
        <v>48.54913793103448</v>
      </c>
      <c r="K12" s="138">
        <f>F12-4382.58/75*60</f>
        <v>-690.2139999999999</v>
      </c>
      <c r="L12" s="138">
        <f>F12/(4382.58*60)*100</f>
        <v>1.0708494387628598</v>
      </c>
      <c r="M12" s="35">
        <f>E12-червень!E12</f>
        <v>330</v>
      </c>
      <c r="N12" s="35">
        <f>F12-червень!F12</f>
        <v>223.3199999999997</v>
      </c>
      <c r="O12" s="138">
        <f t="shared" si="3"/>
        <v>-106.68000000000029</v>
      </c>
      <c r="P12" s="136">
        <f t="shared" si="5"/>
        <v>67.67272727272719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3269.28</v>
      </c>
      <c r="G13" s="135">
        <f t="shared" si="0"/>
        <v>-1844.1199999999994</v>
      </c>
      <c r="H13" s="137">
        <f t="shared" si="4"/>
        <v>63.93554190949271</v>
      </c>
      <c r="I13" s="136">
        <f t="shared" si="1"/>
        <v>-5130.719999999999</v>
      </c>
      <c r="J13" s="136">
        <f t="shared" si="2"/>
        <v>38.92</v>
      </c>
      <c r="K13" s="138">
        <f>F13-5960.54/75*60</f>
        <v>-1499.1519999999996</v>
      </c>
      <c r="L13" s="138">
        <f>F13/(5960.54/75*60)*100</f>
        <v>68.56090220013623</v>
      </c>
      <c r="M13" s="35">
        <f>E13-червень!E13</f>
        <v>1769.9999999999995</v>
      </c>
      <c r="N13" s="35">
        <f>F13-червень!F13</f>
        <v>485.87000000000035</v>
      </c>
      <c r="O13" s="138">
        <f t="shared" si="3"/>
        <v>-1284.1299999999992</v>
      </c>
      <c r="P13" s="136">
        <f t="shared" si="5"/>
        <v>27.450282485875732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5457.99</v>
      </c>
      <c r="G14" s="135">
        <f t="shared" si="0"/>
        <v>3033.99</v>
      </c>
      <c r="H14" s="137">
        <f t="shared" si="4"/>
        <v>225.16460396039602</v>
      </c>
      <c r="I14" s="136">
        <f t="shared" si="1"/>
        <v>1077.9899999999998</v>
      </c>
      <c r="J14" s="136">
        <f t="shared" si="2"/>
        <v>124.61164383561642</v>
      </c>
      <c r="K14" s="138">
        <f>F14-28.15/75*60</f>
        <v>5435.469999999999</v>
      </c>
      <c r="L14" s="138">
        <f>F14/(28.15/75*60)*100</f>
        <v>24236.190053285973</v>
      </c>
      <c r="M14" s="35">
        <f>E14-червень!E14</f>
        <v>390</v>
      </c>
      <c r="N14" s="35">
        <f>F14-червень!F14</f>
        <v>894.2199999999993</v>
      </c>
      <c r="O14" s="138">
        <f t="shared" si="3"/>
        <v>504.21999999999935</v>
      </c>
      <c r="P14" s="136">
        <f t="shared" si="5"/>
        <v>229.28717948717932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-855.72</v>
      </c>
      <c r="G15" s="43">
        <f t="shared" si="0"/>
        <v>-1027.02</v>
      </c>
      <c r="H15" s="35"/>
      <c r="I15" s="50">
        <f t="shared" si="1"/>
        <v>-1355.72</v>
      </c>
      <c r="J15" s="50">
        <f>F15/D15*100</f>
        <v>-171.144</v>
      </c>
      <c r="K15" s="53">
        <f>F15-349.38</f>
        <v>-1205.1</v>
      </c>
      <c r="L15" s="53">
        <f>F15/349.38*100</f>
        <v>-244.92529623905205</v>
      </c>
      <c r="M15" s="35">
        <f>E15-червень!E15</f>
        <v>0</v>
      </c>
      <c r="N15" s="35">
        <f>F15-червень!F15</f>
        <v>2.419999999999959</v>
      </c>
      <c r="O15" s="47">
        <f t="shared" si="3"/>
        <v>2.419999999999959</v>
      </c>
      <c r="P15" s="50"/>
      <c r="Q15" s="50">
        <f>N15-358.81</f>
        <v>-356.39000000000004</v>
      </c>
      <c r="R15" s="126">
        <f>N15/358.81</f>
        <v>0.006744516596527296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F16-850.64</f>
        <v>-2203.74</v>
      </c>
      <c r="L16" s="138">
        <f>F16/850.64*100</f>
        <v>-159.06846609611586</v>
      </c>
      <c r="M16" s="35">
        <f>E16-червень!E16</f>
        <v>0</v>
      </c>
      <c r="N16" s="35">
        <f>F16-червень!F16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30393.56</v>
      </c>
      <c r="G19" s="43">
        <f t="shared" si="0"/>
        <v>4170.810000000001</v>
      </c>
      <c r="H19" s="35">
        <f t="shared" si="4"/>
        <v>115.90531122784607</v>
      </c>
      <c r="I19" s="50">
        <f t="shared" si="1"/>
        <v>443.5600000000013</v>
      </c>
      <c r="J19" s="178">
        <f>F19/D19*100</f>
        <v>101.48100166944909</v>
      </c>
      <c r="K19" s="179">
        <f>F19-0</f>
        <v>30393.56</v>
      </c>
      <c r="L19" s="180"/>
      <c r="M19" s="35">
        <f>E19-червень!E19</f>
        <v>2720</v>
      </c>
      <c r="N19" s="35">
        <f>F19-червень!F19</f>
        <v>277.06600000000253</v>
      </c>
      <c r="O19" s="47">
        <f t="shared" si="3"/>
        <v>-2442.9339999999975</v>
      </c>
      <c r="P19" s="50">
        <f t="shared" si="5"/>
        <v>10.186250000000092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107383.38999999998</v>
      </c>
      <c r="G20" s="43">
        <f t="shared" si="0"/>
        <v>-2251.310000000012</v>
      </c>
      <c r="H20" s="35">
        <f t="shared" si="4"/>
        <v>97.94653517545082</v>
      </c>
      <c r="I20" s="50">
        <f t="shared" si="1"/>
        <v>-59386.610000000015</v>
      </c>
      <c r="J20" s="178">
        <f aca="true" t="shared" si="6" ref="J20:J46">F20/D20*100</f>
        <v>64.3901121304791</v>
      </c>
      <c r="K20" s="178">
        <f>K21+K25+K26+K27</f>
        <v>10041.509999999991</v>
      </c>
      <c r="L20" s="136"/>
      <c r="M20" s="35">
        <f>E20-червень!E20</f>
        <v>15878.800000000003</v>
      </c>
      <c r="N20" s="35">
        <f>F20-червень!F20</f>
        <v>6939.038999999975</v>
      </c>
      <c r="O20" s="47">
        <f t="shared" si="3"/>
        <v>-8939.761000000028</v>
      </c>
      <c r="P20" s="50">
        <f t="shared" si="5"/>
        <v>43.70002141219723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57084.46</v>
      </c>
      <c r="G21" s="43">
        <f t="shared" si="0"/>
        <v>-593.739999999998</v>
      </c>
      <c r="H21" s="35">
        <f t="shared" si="4"/>
        <v>98.97059894379507</v>
      </c>
      <c r="I21" s="50">
        <f t="shared" si="1"/>
        <v>-41115.54</v>
      </c>
      <c r="J21" s="178">
        <f t="shared" si="6"/>
        <v>58.13081466395113</v>
      </c>
      <c r="K21" s="178">
        <f>K22+K23+K24</f>
        <v>9723.199999999993</v>
      </c>
      <c r="L21" s="136"/>
      <c r="M21" s="35">
        <f>E21-червень!E21</f>
        <v>9321</v>
      </c>
      <c r="N21" s="35">
        <f>F21-червень!F21</f>
        <v>2327.143999999993</v>
      </c>
      <c r="O21" s="47">
        <f t="shared" si="3"/>
        <v>-6993.856000000007</v>
      </c>
      <c r="P21" s="50">
        <f t="shared" si="5"/>
        <v>24.966677395129203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5465.23</v>
      </c>
      <c r="G22" s="135">
        <f t="shared" si="0"/>
        <v>4886.03</v>
      </c>
      <c r="H22" s="137">
        <f t="shared" si="4"/>
        <v>943.5825276243091</v>
      </c>
      <c r="I22" s="136">
        <f t="shared" si="1"/>
        <v>4465.23</v>
      </c>
      <c r="J22" s="136">
        <f t="shared" si="6"/>
        <v>546.5229999999999</v>
      </c>
      <c r="K22" s="136">
        <f>F22-259.1</f>
        <v>5206.129999999999</v>
      </c>
      <c r="L22" s="136">
        <f>F22/259.1*100</f>
        <v>2109.3130065611726</v>
      </c>
      <c r="M22" s="35">
        <f>E22-червень!E22</f>
        <v>213.00000000000006</v>
      </c>
      <c r="N22" s="35">
        <f>F22-червень!F22</f>
        <v>508.1269999999995</v>
      </c>
      <c r="O22" s="138">
        <f t="shared" si="3"/>
        <v>295.12699999999944</v>
      </c>
      <c r="P22" s="136">
        <f t="shared" si="5"/>
        <v>238.55727699530487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469.45</v>
      </c>
      <c r="G23" s="135">
        <f t="shared" si="0"/>
        <v>-80.55000000000001</v>
      </c>
      <c r="H23" s="137"/>
      <c r="I23" s="136">
        <f t="shared" si="1"/>
        <v>-1030.55</v>
      </c>
      <c r="J23" s="136">
        <f t="shared" si="6"/>
        <v>31.296666666666667</v>
      </c>
      <c r="K23" s="136">
        <f>F23-0</f>
        <v>469.45</v>
      </c>
      <c r="L23" s="136"/>
      <c r="M23" s="35">
        <f>E23-червень!E23</f>
        <v>300</v>
      </c>
      <c r="N23" s="35">
        <f>F23-червень!F23</f>
        <v>258.77</v>
      </c>
      <c r="O23" s="138">
        <f t="shared" si="3"/>
        <v>-41.23000000000002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51149.78</v>
      </c>
      <c r="G24" s="135">
        <f t="shared" si="0"/>
        <v>-5399.220000000001</v>
      </c>
      <c r="H24" s="137">
        <f t="shared" si="4"/>
        <v>90.45213885303012</v>
      </c>
      <c r="I24" s="136">
        <f t="shared" si="1"/>
        <v>-44550.22</v>
      </c>
      <c r="J24" s="136">
        <f t="shared" si="6"/>
        <v>53.448045977011496</v>
      </c>
      <c r="K24" s="139">
        <f>F24-47102.16</f>
        <v>4047.6199999999953</v>
      </c>
      <c r="L24" s="139">
        <f>F24/47102.16*100</f>
        <v>108.59327894941548</v>
      </c>
      <c r="M24" s="35">
        <f>E24-червень!E24</f>
        <v>8808</v>
      </c>
      <c r="N24" s="35">
        <f>F24-червень!F24</f>
        <v>1560.2469999999958</v>
      </c>
      <c r="O24" s="138">
        <f t="shared" si="3"/>
        <v>-7247.753000000004</v>
      </c>
      <c r="P24" s="136">
        <f t="shared" si="5"/>
        <v>17.713975930971795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37.42</v>
      </c>
      <c r="G25" s="43">
        <f t="shared" si="0"/>
        <v>7.420000000000002</v>
      </c>
      <c r="H25" s="35">
        <f t="shared" si="4"/>
        <v>124.73333333333333</v>
      </c>
      <c r="I25" s="50">
        <f t="shared" si="1"/>
        <v>-32.58</v>
      </c>
      <c r="J25" s="178">
        <f t="shared" si="6"/>
        <v>53.457142857142856</v>
      </c>
      <c r="K25" s="178">
        <f>F25-34</f>
        <v>3.4200000000000017</v>
      </c>
      <c r="L25" s="178">
        <f>F25/34*100</f>
        <v>110.05882352941177</v>
      </c>
      <c r="M25" s="35">
        <f>E25-червень!E25</f>
        <v>7.800000000000001</v>
      </c>
      <c r="N25" s="35">
        <f>F25-червень!F25</f>
        <v>-0.003999999999997783</v>
      </c>
      <c r="O25" s="47">
        <f t="shared" si="3"/>
        <v>-7.8039999999999985</v>
      </c>
      <c r="P25" s="50">
        <f t="shared" si="5"/>
        <v>-0.05128205128202285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-430.63</v>
      </c>
      <c r="G26" s="43">
        <f t="shared" si="0"/>
        <v>-430.63</v>
      </c>
      <c r="H26" s="35"/>
      <c r="I26" s="50">
        <f t="shared" si="1"/>
        <v>-430.63</v>
      </c>
      <c r="J26" s="136"/>
      <c r="K26" s="178">
        <f>F26-3736.89</f>
        <v>-4167.5199999999995</v>
      </c>
      <c r="L26" s="178">
        <f>F26/3736.89*100</f>
        <v>-11.523753709635551</v>
      </c>
      <c r="M26" s="35">
        <f>E26-червень!E26</f>
        <v>0</v>
      </c>
      <c r="N26" s="35">
        <f>F26-червень!F26</f>
        <v>-27.271000000000015</v>
      </c>
      <c r="O26" s="47">
        <f t="shared" si="3"/>
        <v>-27.271000000000015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50692.14</v>
      </c>
      <c r="G27" s="43">
        <f t="shared" si="0"/>
        <v>-1234.3600000000006</v>
      </c>
      <c r="H27" s="35">
        <f t="shared" si="4"/>
        <v>97.62287078851838</v>
      </c>
      <c r="I27" s="50">
        <f t="shared" si="1"/>
        <v>-17807.86</v>
      </c>
      <c r="J27" s="178">
        <f t="shared" si="6"/>
        <v>74.00312408759125</v>
      </c>
      <c r="K27" s="132">
        <f>F27-46209.73</f>
        <v>4482.409999999996</v>
      </c>
      <c r="L27" s="132">
        <f>F27/46209.73*100</f>
        <v>109.70014323823143</v>
      </c>
      <c r="M27" s="35">
        <f>E27-червень!E27</f>
        <v>6550</v>
      </c>
      <c r="N27" s="35">
        <f>F27-червень!F27</f>
        <v>4639.169999999998</v>
      </c>
      <c r="O27" s="47">
        <f t="shared" si="3"/>
        <v>-1910.8300000000017</v>
      </c>
      <c r="P27" s="50">
        <f t="shared" si="5"/>
        <v>70.82702290076334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12191.74</v>
      </c>
      <c r="G29" s="135">
        <f t="shared" si="0"/>
        <v>-48.26000000000022</v>
      </c>
      <c r="H29" s="137">
        <f t="shared" si="4"/>
        <v>99.60571895424837</v>
      </c>
      <c r="I29" s="136">
        <f t="shared" si="1"/>
        <v>-4308.26</v>
      </c>
      <c r="J29" s="136">
        <f t="shared" si="6"/>
        <v>73.88933333333333</v>
      </c>
      <c r="K29" s="139">
        <f>F29-12569.54</f>
        <v>-377.8000000000011</v>
      </c>
      <c r="L29" s="139">
        <f>F29/12569.54*100</f>
        <v>96.99432119234275</v>
      </c>
      <c r="M29" s="35">
        <f>E29-червень!E29</f>
        <v>1200</v>
      </c>
      <c r="N29" s="35">
        <f>F29-червень!F29</f>
        <v>768.5799999999999</v>
      </c>
      <c r="O29" s="138">
        <f t="shared" si="3"/>
        <v>-431.4200000000001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38493</v>
      </c>
      <c r="G30" s="135">
        <f t="shared" si="0"/>
        <v>-1193.5</v>
      </c>
      <c r="H30" s="137">
        <f t="shared" si="4"/>
        <v>96.99268013052298</v>
      </c>
      <c r="I30" s="136">
        <f t="shared" si="1"/>
        <v>-13507</v>
      </c>
      <c r="J30" s="136">
        <f t="shared" si="6"/>
        <v>74.02499999999999</v>
      </c>
      <c r="K30" s="139">
        <f>F30-33639.82</f>
        <v>4853.18</v>
      </c>
      <c r="L30" s="139">
        <f>F30/33639.82*100</f>
        <v>114.42689051249381</v>
      </c>
      <c r="M30" s="35">
        <f>E30-червень!E30</f>
        <v>5350</v>
      </c>
      <c r="N30" s="35">
        <f>F30-червень!F30</f>
        <v>3870.1500000000015</v>
      </c>
      <c r="O30" s="138">
        <f t="shared" si="3"/>
        <v>-1479.8499999999985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8.59</v>
      </c>
      <c r="G31" s="135">
        <f t="shared" si="0"/>
        <v>8.59</v>
      </c>
      <c r="H31" s="137"/>
      <c r="I31" s="136">
        <f t="shared" si="1"/>
        <v>8.59</v>
      </c>
      <c r="J31" s="136"/>
      <c r="K31" s="139">
        <f>F31-0</f>
        <v>8.59</v>
      </c>
      <c r="L31" s="139"/>
      <c r="M31" s="35">
        <f>E31-червень!E31</f>
        <v>0</v>
      </c>
      <c r="N31" s="35">
        <f>F31-червень!F31</f>
        <v>0.41999999999999993</v>
      </c>
      <c r="O31" s="138">
        <f t="shared" si="3"/>
        <v>0.41999999999999993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4023.09</v>
      </c>
      <c r="G32" s="43">
        <f t="shared" si="0"/>
        <v>21.090000000000146</v>
      </c>
      <c r="H32" s="35">
        <f t="shared" si="4"/>
        <v>100.52698650674662</v>
      </c>
      <c r="I32" s="50">
        <f t="shared" si="1"/>
        <v>-3476.91</v>
      </c>
      <c r="J32" s="178">
        <f t="shared" si="6"/>
        <v>53.6412</v>
      </c>
      <c r="K32" s="178">
        <f>F32-5308.17</f>
        <v>-1285.08</v>
      </c>
      <c r="L32" s="178">
        <f>F32/5308.17*100</f>
        <v>75.79052667868588</v>
      </c>
      <c r="M32" s="35">
        <f>E32-червень!E32</f>
        <v>7.199999999999818</v>
      </c>
      <c r="N32" s="35">
        <f>F32-червень!F32</f>
        <v>2.2899999999999636</v>
      </c>
      <c r="O32" s="47">
        <f t="shared" si="3"/>
        <v>-4.9099999999998545</v>
      </c>
      <c r="P32" s="50">
        <f t="shared" si="5"/>
        <v>31.805555555555852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17716.42</v>
      </c>
      <c r="G33" s="44">
        <f t="shared" si="0"/>
        <v>10541.419999999998</v>
      </c>
      <c r="H33" s="45">
        <f>F33/E33*100</f>
        <v>246.91874564459928</v>
      </c>
      <c r="I33" s="31">
        <f t="shared" si="1"/>
        <v>5149.319999999998</v>
      </c>
      <c r="J33" s="31">
        <f t="shared" si="6"/>
        <v>140.97460830263145</v>
      </c>
      <c r="K33" s="18">
        <f>K34+K35+K36+K37+K38+K41+K42+K47+K48+K52+K40</f>
        <v>10274.02</v>
      </c>
      <c r="L33" s="18"/>
      <c r="M33" s="18">
        <f>M34+M35+M36+M37+M38+M41+M42+M47+M48+M52+M40+M39</f>
        <v>1057.5</v>
      </c>
      <c r="N33" s="18">
        <f>N34+N35+N36+N37+N38+N41+N42+N47+N48+N52+N40+N39</f>
        <v>1843.4199999999998</v>
      </c>
      <c r="O33" s="49">
        <f t="shared" si="3"/>
        <v>785.9199999999998</v>
      </c>
      <c r="P33" s="31">
        <f>N33/M33*100</f>
        <v>174.31867612293144</v>
      </c>
      <c r="Q33" s="31">
        <f>N33-1017.63</f>
        <v>825.7899999999998</v>
      </c>
      <c r="R33" s="127">
        <f>N33/1017.63</f>
        <v>1.8114835450998887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E36-червень!E36</f>
        <v>0</v>
      </c>
      <c r="N36" s="35">
        <f>F36-червень!F36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84.07</v>
      </c>
      <c r="G38" s="43">
        <f t="shared" si="0"/>
        <v>4.069999999999993</v>
      </c>
      <c r="H38" s="35">
        <f>F38/E38*100</f>
        <v>105.0875</v>
      </c>
      <c r="I38" s="50">
        <f t="shared" si="1"/>
        <v>-55.93000000000001</v>
      </c>
      <c r="J38" s="50">
        <f t="shared" si="6"/>
        <v>60.04999999999999</v>
      </c>
      <c r="K38" s="50">
        <f>F38-78.24</f>
        <v>5.829999999999998</v>
      </c>
      <c r="L38" s="50">
        <f>F38/78.24*100</f>
        <v>107.45143149284253</v>
      </c>
      <c r="M38" s="35">
        <f>E38-червень!E38</f>
        <v>15</v>
      </c>
      <c r="N38" s="35">
        <f>F38-червень!F38</f>
        <v>2.4499999999999886</v>
      </c>
      <c r="O38" s="47">
        <f t="shared" si="3"/>
        <v>-12.550000000000011</v>
      </c>
      <c r="P38" s="50">
        <f>N38/M38*100</f>
        <v>16.333333333333258</v>
      </c>
      <c r="Q38" s="50">
        <f>N38-9.02</f>
        <v>-6.570000000000011</v>
      </c>
      <c r="R38" s="126">
        <f>N38/9.02</f>
        <v>0.27161862527716063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5384.57</v>
      </c>
      <c r="G40" s="43"/>
      <c r="H40" s="35"/>
      <c r="I40" s="50">
        <f t="shared" si="1"/>
        <v>5384.57</v>
      </c>
      <c r="J40" s="50"/>
      <c r="K40" s="50">
        <f>F40-0</f>
        <v>5384.57</v>
      </c>
      <c r="L40" s="50"/>
      <c r="M40" s="35">
        <f>E40-червень!E40</f>
        <v>0</v>
      </c>
      <c r="N40" s="35">
        <f>F40-червень!F40</f>
        <v>456.96999999999935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5141.68</v>
      </c>
      <c r="G41" s="43">
        <f t="shared" si="0"/>
        <v>1071.6800000000003</v>
      </c>
      <c r="H41" s="35">
        <f>F41/E41*100</f>
        <v>126.33120393120394</v>
      </c>
      <c r="I41" s="50">
        <f t="shared" si="1"/>
        <v>-1758.3199999999997</v>
      </c>
      <c r="J41" s="50">
        <f t="shared" si="6"/>
        <v>74.51710144927537</v>
      </c>
      <c r="K41" s="50">
        <f>F41-4143.38</f>
        <v>998.3000000000002</v>
      </c>
      <c r="L41" s="50">
        <f>F41/4143.38*100</f>
        <v>124.09385574096513</v>
      </c>
      <c r="M41" s="35">
        <f>E41-червень!E41</f>
        <v>550</v>
      </c>
      <c r="N41" s="35">
        <f>F41-червень!F41</f>
        <v>838.9700000000003</v>
      </c>
      <c r="O41" s="47">
        <f t="shared" si="3"/>
        <v>288.97000000000025</v>
      </c>
      <c r="P41" s="50">
        <f>N41/M41*100</f>
        <v>152.54000000000005</v>
      </c>
      <c r="Q41" s="50">
        <f>N41-647.49</f>
        <v>191.48000000000025</v>
      </c>
      <c r="R41" s="126">
        <f>N41/647.49</f>
        <v>1.2957265749277984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4351.29</v>
      </c>
      <c r="G42" s="43">
        <f t="shared" si="0"/>
        <v>3789.29</v>
      </c>
      <c r="H42" s="35">
        <f>F42/E42*100</f>
        <v>774.2508896797153</v>
      </c>
      <c r="I42" s="50">
        <f t="shared" si="1"/>
        <v>3251.29</v>
      </c>
      <c r="J42" s="50">
        <f t="shared" si="6"/>
        <v>395.5718181818182</v>
      </c>
      <c r="K42" s="50">
        <f>F42-531.41</f>
        <v>3819.88</v>
      </c>
      <c r="L42" s="50">
        <f>F42/531.41*100</f>
        <v>818.8197437007208</v>
      </c>
      <c r="M42" s="35">
        <f>E42-червень!E42</f>
        <v>112</v>
      </c>
      <c r="N42" s="35">
        <f>F42-червень!F42</f>
        <v>318.0500000000002</v>
      </c>
      <c r="O42" s="47">
        <f t="shared" si="3"/>
        <v>206.05000000000018</v>
      </c>
      <c r="P42" s="50">
        <f>N42/M42*100</f>
        <v>283.97321428571445</v>
      </c>
      <c r="Q42" s="50">
        <f>N42-79.51</f>
        <v>238.5400000000002</v>
      </c>
      <c r="R42" s="126">
        <f>N42/79.51</f>
        <v>4.000125770343355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628.89</v>
      </c>
      <c r="G43" s="135">
        <f t="shared" si="0"/>
        <v>138.89</v>
      </c>
      <c r="H43" s="137">
        <f>F43/E43*100</f>
        <v>128.34489795918367</v>
      </c>
      <c r="I43" s="136">
        <f t="shared" si="1"/>
        <v>-341.11</v>
      </c>
      <c r="J43" s="136">
        <f t="shared" si="6"/>
        <v>64.83402061855669</v>
      </c>
      <c r="K43" s="136">
        <f>F43-359.18</f>
        <v>269.71</v>
      </c>
      <c r="L43" s="136">
        <f>F43/359.18*100</f>
        <v>175.09048387994878</v>
      </c>
      <c r="M43" s="35">
        <f>E43-червень!E43</f>
        <v>100</v>
      </c>
      <c r="N43" s="35">
        <f>F43-червень!F43</f>
        <v>46.14999999999998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</v>
      </c>
      <c r="G44" s="135">
        <f t="shared" si="0"/>
        <v>45.4</v>
      </c>
      <c r="H44" s="137"/>
      <c r="I44" s="136">
        <f t="shared" si="1"/>
        <v>45.4</v>
      </c>
      <c r="J44" s="136"/>
      <c r="K44" s="136">
        <f>F44-0</f>
        <v>45.4</v>
      </c>
      <c r="L44" s="136"/>
      <c r="M44" s="35">
        <f>E44-червень!E44</f>
        <v>0</v>
      </c>
      <c r="N44" s="35">
        <f>F44-червень!F44</f>
        <v>0.25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3676.24</v>
      </c>
      <c r="G46" s="135">
        <f t="shared" si="0"/>
        <v>3604.24</v>
      </c>
      <c r="H46" s="137">
        <f>F46/E46*100</f>
        <v>5105.888888888889</v>
      </c>
      <c r="I46" s="136">
        <f t="shared" si="1"/>
        <v>3546.24</v>
      </c>
      <c r="J46" s="136">
        <f t="shared" si="6"/>
        <v>2827.876923076923</v>
      </c>
      <c r="K46" s="136">
        <f>F46-56.15</f>
        <v>3620.0899999999997</v>
      </c>
      <c r="L46" s="136">
        <f>F46/56.15*100</f>
        <v>6547.177203918076</v>
      </c>
      <c r="M46" s="35">
        <f>E46-червень!E46</f>
        <v>-8</v>
      </c>
      <c r="N46" s="35">
        <f>F46-червень!F46</f>
        <v>271.6399999999999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2462.63</v>
      </c>
      <c r="G48" s="43">
        <f t="shared" si="0"/>
        <v>112.63000000000011</v>
      </c>
      <c r="H48" s="35">
        <f>F48/E48*100</f>
        <v>104.79276595744682</v>
      </c>
      <c r="I48" s="50">
        <f t="shared" si="1"/>
        <v>-1737.37</v>
      </c>
      <c r="J48" s="50">
        <f>F48/D48*100</f>
        <v>58.63404761904762</v>
      </c>
      <c r="K48" s="50">
        <f>F48-2346.09</f>
        <v>116.53999999999996</v>
      </c>
      <c r="L48" s="50">
        <f>F48/2346.09*100</f>
        <v>104.96741386732819</v>
      </c>
      <c r="M48" s="35">
        <f>E48-червень!E48</f>
        <v>370</v>
      </c>
      <c r="N48" s="35">
        <f>F48-червень!F48</f>
        <v>226.48000000000002</v>
      </c>
      <c r="O48" s="47">
        <f t="shared" si="3"/>
        <v>-143.51999999999998</v>
      </c>
      <c r="P48" s="50">
        <f aca="true" t="shared" si="7" ref="P48:P53">N48/M48*100</f>
        <v>61.21081081081081</v>
      </c>
      <c r="Q48" s="50">
        <f>N48-277.38</f>
        <v>-50.89999999999998</v>
      </c>
      <c r="R48" s="126">
        <f>N48/277.38</f>
        <v>0.8164972240248036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648</v>
      </c>
      <c r="G51" s="135">
        <f t="shared" si="0"/>
        <v>648</v>
      </c>
      <c r="H51" s="137"/>
      <c r="I51" s="136">
        <f t="shared" si="1"/>
        <v>648</v>
      </c>
      <c r="J51" s="136"/>
      <c r="K51" s="136">
        <f>F51-469.9</f>
        <v>178.10000000000002</v>
      </c>
      <c r="L51" s="138">
        <f>F51/469.9*100</f>
        <v>137.90168120876783</v>
      </c>
      <c r="M51" s="35">
        <f>E51-червень!E51</f>
        <v>0</v>
      </c>
      <c r="N51" s="35">
        <f>F51-червень!F51</f>
        <v>70.60000000000002</v>
      </c>
      <c r="O51" s="138">
        <f t="shared" si="3"/>
        <v>70.60000000000002</v>
      </c>
      <c r="P51" s="136"/>
      <c r="Q51" s="50">
        <f>N51-64.93</f>
        <v>5.670000000000016</v>
      </c>
      <c r="R51" s="126">
        <f>N51/64.93</f>
        <v>1.0873248113352845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E54-червень!E54</f>
        <v>0</v>
      </c>
      <c r="N54" s="35">
        <f>F54-червень!F54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346764.54000000004</v>
      </c>
      <c r="G55" s="44">
        <f>F55-E55</f>
        <v>11226.140000000072</v>
      </c>
      <c r="H55" s="45">
        <f>F55/E55*100</f>
        <v>103.34570946276196</v>
      </c>
      <c r="I55" s="31">
        <f>F55-D55</f>
        <v>-183258.05999999994</v>
      </c>
      <c r="J55" s="31">
        <f>F55/D55*100</f>
        <v>65.4244818994511</v>
      </c>
      <c r="K55" s="31">
        <f>K8+K33+K53+K54</f>
        <v>61995.40400000001</v>
      </c>
      <c r="L55" s="31">
        <f>F55/(F55-K55)*100</f>
        <v>121.7704084335881</v>
      </c>
      <c r="M55" s="18">
        <f>M8+M33+M53+M54</f>
        <v>47811.7</v>
      </c>
      <c r="N55" s="18">
        <f>N8+N33+N53+N54</f>
        <v>25765.88499999997</v>
      </c>
      <c r="O55" s="49">
        <f>N55-M55</f>
        <v>-22045.815000000028</v>
      </c>
      <c r="P55" s="31">
        <f>N55/M55*100</f>
        <v>53.89033437422215</v>
      </c>
      <c r="Q55" s="31">
        <f>N55-34768</f>
        <v>-9002.11500000003</v>
      </c>
      <c r="R55" s="171">
        <f>N55/34768</f>
        <v>0.7410804475379651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-44.17</v>
      </c>
      <c r="G61" s="43">
        <f aca="true" t="shared" si="8" ref="G61:G68">F61-E61</f>
        <v>-44.17</v>
      </c>
      <c r="H61" s="35"/>
      <c r="I61" s="53">
        <f aca="true" t="shared" si="9" ref="I61:I68">F61-D61</f>
        <v>-44.17</v>
      </c>
      <c r="J61" s="53"/>
      <c r="K61" s="47">
        <f>F61-183.34</f>
        <v>-227.51</v>
      </c>
      <c r="L61" s="53"/>
      <c r="M61" s="35">
        <v>0</v>
      </c>
      <c r="N61" s="36">
        <f>F61-червень!F61</f>
        <v>-13.130000000000003</v>
      </c>
      <c r="O61" s="47">
        <f aca="true" t="shared" si="10" ref="O61:O68">N61-M61</f>
        <v>-13.130000000000003</v>
      </c>
      <c r="P61" s="53"/>
      <c r="Q61" s="53">
        <f>N61-24.53</f>
        <v>-37.660000000000004</v>
      </c>
      <c r="R61" s="129">
        <f>N61/24.53</f>
        <v>-0.5352629433346923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-44.17</v>
      </c>
      <c r="G62" s="55">
        <f t="shared" si="8"/>
        <v>-44.17</v>
      </c>
      <c r="H62" s="65"/>
      <c r="I62" s="54">
        <f t="shared" si="9"/>
        <v>-44.17</v>
      </c>
      <c r="J62" s="54"/>
      <c r="K62" s="54">
        <f>K60+K61</f>
        <v>-226.37</v>
      </c>
      <c r="L62" s="54"/>
      <c r="M62" s="55">
        <f>M61</f>
        <v>0</v>
      </c>
      <c r="N62" s="33">
        <f>SUM(N60:N61)</f>
        <v>-13.130000000000003</v>
      </c>
      <c r="O62" s="54">
        <f t="shared" si="10"/>
        <v>-13.130000000000003</v>
      </c>
      <c r="P62" s="54"/>
      <c r="Q62" s="54">
        <f>N62-92.85</f>
        <v>-105.97999999999999</v>
      </c>
      <c r="R62" s="130">
        <f>N62/92.85</f>
        <v>-0.14141087775982772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534.7</v>
      </c>
      <c r="G64" s="43">
        <f t="shared" si="8"/>
        <v>134.70000000000005</v>
      </c>
      <c r="H64" s="35"/>
      <c r="I64" s="53">
        <f t="shared" si="9"/>
        <v>-1965.3</v>
      </c>
      <c r="J64" s="53">
        <f t="shared" si="11"/>
        <v>21.388</v>
      </c>
      <c r="K64" s="53">
        <f>F64-1678.13</f>
        <v>-1143.43</v>
      </c>
      <c r="L64" s="53">
        <f>F64/1678.13*100</f>
        <v>31.86284733602284</v>
      </c>
      <c r="M64" s="35">
        <f>E64-червень!E64</f>
        <v>0</v>
      </c>
      <c r="N64" s="35">
        <f>F64-червень!F64</f>
        <v>340.70000000000005</v>
      </c>
      <c r="O64" s="47">
        <f t="shared" si="10"/>
        <v>340.70000000000005</v>
      </c>
      <c r="P64" s="53"/>
      <c r="Q64" s="53">
        <f>N64-0.04</f>
        <v>340.66</v>
      </c>
      <c r="R64" s="129">
        <f>N64/0.04</f>
        <v>8517.500000000002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3262.83</v>
      </c>
      <c r="G65" s="43">
        <f t="shared" si="8"/>
        <v>-449.9300000000003</v>
      </c>
      <c r="H65" s="35">
        <f>F65/E65*100</f>
        <v>87.88152210215581</v>
      </c>
      <c r="I65" s="53">
        <f t="shared" si="9"/>
        <v>-8313.17</v>
      </c>
      <c r="J65" s="53">
        <f t="shared" si="11"/>
        <v>28.186161022805805</v>
      </c>
      <c r="K65" s="53">
        <f>F65-2235.97</f>
        <v>1026.8600000000001</v>
      </c>
      <c r="L65" s="53">
        <f>F65/2235.97*100</f>
        <v>145.92458753918882</v>
      </c>
      <c r="M65" s="35">
        <f>E65-червень!E65</f>
        <v>1213.0600000000004</v>
      </c>
      <c r="N65" s="35">
        <f>F65-червень!F65</f>
        <v>5.7599999999997635</v>
      </c>
      <c r="O65" s="47">
        <f t="shared" si="10"/>
        <v>-1207.3000000000006</v>
      </c>
      <c r="P65" s="53">
        <f>N65/M65*100</f>
        <v>0.4748322424282197</v>
      </c>
      <c r="Q65" s="53">
        <f>N65-450.01</f>
        <v>-444.2500000000002</v>
      </c>
      <c r="R65" s="129">
        <f>N65/450.01</f>
        <v>0.012799715561875877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1818.42</v>
      </c>
      <c r="G66" s="43">
        <f t="shared" si="8"/>
        <v>929.82</v>
      </c>
      <c r="H66" s="35">
        <f>F66/E66*100</f>
        <v>204.6387575962188</v>
      </c>
      <c r="I66" s="53">
        <f t="shared" si="9"/>
        <v>-1181.58</v>
      </c>
      <c r="J66" s="53">
        <f t="shared" si="11"/>
        <v>60.614000000000004</v>
      </c>
      <c r="K66" s="53">
        <f>F66-764.22</f>
        <v>1054.2</v>
      </c>
      <c r="L66" s="53">
        <f>F66/764.22*100</f>
        <v>237.94457093507106</v>
      </c>
      <c r="M66" s="35">
        <f>E66-червень!E66</f>
        <v>148.10000000000002</v>
      </c>
      <c r="N66" s="35">
        <f>F66-червень!F66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5615.95</v>
      </c>
      <c r="G67" s="55">
        <f t="shared" si="8"/>
        <v>614.5899999999992</v>
      </c>
      <c r="H67" s="65">
        <f>F67/E67*100</f>
        <v>112.28845753954924</v>
      </c>
      <c r="I67" s="54">
        <f t="shared" si="9"/>
        <v>-11460.05</v>
      </c>
      <c r="J67" s="54">
        <f t="shared" si="11"/>
        <v>32.88797142187866</v>
      </c>
      <c r="K67" s="54">
        <f>K64+K65+K66</f>
        <v>937.6300000000001</v>
      </c>
      <c r="L67" s="54"/>
      <c r="M67" s="55">
        <f>M64+M65+M66</f>
        <v>1361.1600000000003</v>
      </c>
      <c r="N67" s="55">
        <f>N64+N65+N66</f>
        <v>346.4599999999998</v>
      </c>
      <c r="O67" s="54">
        <f t="shared" si="10"/>
        <v>-1014.7000000000005</v>
      </c>
      <c r="P67" s="54">
        <f>N67/M67*100</f>
        <v>25.453289841017934</v>
      </c>
      <c r="Q67" s="54">
        <f>N67-7985.28</f>
        <v>-7638.82</v>
      </c>
      <c r="R67" s="173">
        <f>N67/7985.28</f>
        <v>0.043387332692153543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E68-червень!E68</f>
        <v>0</v>
      </c>
      <c r="N68" s="35">
        <f>F68-червень!F68</f>
        <v>0</v>
      </c>
      <c r="O68" s="47">
        <f t="shared" si="10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1.06</v>
      </c>
      <c r="G71" s="55">
        <f>F71-E71</f>
        <v>-24.94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-33.11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5592.9800000000005</v>
      </c>
      <c r="G74" s="44">
        <f>F74-E74</f>
        <v>542.6300000000001</v>
      </c>
      <c r="H74" s="45">
        <f>F74/E74*100</f>
        <v>110.7444038531983</v>
      </c>
      <c r="I74" s="31">
        <f>F74-D74</f>
        <v>-11579.02</v>
      </c>
      <c r="J74" s="31">
        <f>F74/D74*100</f>
        <v>32.57034707663639</v>
      </c>
      <c r="K74" s="31">
        <f>K62+K67+K71+K72</f>
        <v>675.69</v>
      </c>
      <c r="L74" s="31"/>
      <c r="M74" s="27">
        <f>M62+M72+M67+M71</f>
        <v>1364.3600000000004</v>
      </c>
      <c r="N74" s="27">
        <f>N62+N72+N67+N71+N73</f>
        <v>333.3299999999998</v>
      </c>
      <c r="O74" s="31">
        <f>N74-M74</f>
        <v>-1031.0300000000007</v>
      </c>
      <c r="P74" s="31">
        <f>N74/M74*100</f>
        <v>24.4312351578762</v>
      </c>
      <c r="Q74" s="31">
        <f>N74-8104.96</f>
        <v>-7771.63</v>
      </c>
      <c r="R74" s="127">
        <f>N74/8104.96</f>
        <v>0.041126668114339834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352357.52</v>
      </c>
      <c r="G75" s="44">
        <f>F75-E75</f>
        <v>11768.770000000077</v>
      </c>
      <c r="H75" s="45">
        <f>F75/E75*100</f>
        <v>103.45541947583415</v>
      </c>
      <c r="I75" s="31">
        <f>F75-D75</f>
        <v>-194837.07999999996</v>
      </c>
      <c r="J75" s="31">
        <f>F75/D75*100</f>
        <v>64.3934570991746</v>
      </c>
      <c r="K75" s="31">
        <f>K55+K74</f>
        <v>62671.09400000001</v>
      </c>
      <c r="L75" s="31">
        <f>F75/(F75-K75)*100</f>
        <v>121.63411481351221</v>
      </c>
      <c r="M75" s="18">
        <f>M55+M74</f>
        <v>49176.06</v>
      </c>
      <c r="N75" s="18">
        <f>N55+N74</f>
        <v>26099.214999999967</v>
      </c>
      <c r="O75" s="31">
        <f>N75-M75</f>
        <v>-23076.84500000003</v>
      </c>
      <c r="P75" s="31">
        <f>N75/M75*100</f>
        <v>53.07300950909847</v>
      </c>
      <c r="Q75" s="31">
        <f>N75-42872.96</f>
        <v>-16773.74500000003</v>
      </c>
      <c r="R75" s="127">
        <f>N75/42872.96</f>
        <v>0.6087570114123206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12</v>
      </c>
      <c r="D77" s="4" t="s">
        <v>118</v>
      </c>
    </row>
    <row r="78" spans="2:17" ht="31.5">
      <c r="B78" s="71" t="s">
        <v>154</v>
      </c>
      <c r="C78" s="34">
        <f>IF(O55&lt;0,ABS(O55/C77),0)</f>
        <v>1837.1512500000024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42200</v>
      </c>
      <c r="D79" s="34">
        <v>3703.1</v>
      </c>
      <c r="N79" s="207"/>
      <c r="O79" s="207"/>
    </row>
    <row r="80" spans="3:15" ht="15.75">
      <c r="C80" s="111">
        <v>42199</v>
      </c>
      <c r="D80" s="34">
        <v>2493.2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42198</v>
      </c>
      <c r="D81" s="34">
        <v>1254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3:13" ht="15.75" customHeight="1">
      <c r="C82" s="111"/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148512.92786000003</v>
      </c>
      <c r="E83" s="73"/>
      <c r="F83" s="156" t="s">
        <v>147</v>
      </c>
      <c r="G83" s="214" t="s">
        <v>149</v>
      </c>
      <c r="H83" s="214"/>
      <c r="I83" s="107">
        <v>139603.19565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2" sqref="B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277</v>
      </c>
      <c r="N3" s="244" t="s">
        <v>278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279</v>
      </c>
      <c r="F4" s="227" t="s">
        <v>116</v>
      </c>
      <c r="G4" s="229" t="s">
        <v>275</v>
      </c>
      <c r="H4" s="231" t="s">
        <v>276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281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288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18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71820.961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143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144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168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169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19161.13100000001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169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14793.516000000007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144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F22-130.74</f>
        <v>4826.363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168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144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144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18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81348.411</v>
      </c>
      <c r="L55" s="31">
        <f>F55/(F55-K55)*100</f>
        <v>133.9446393386522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7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81886.101</v>
      </c>
      <c r="L75" s="31">
        <f>F75/(F75-K75)*100</f>
        <v>133.50876231406414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07"/>
      <c r="O79" s="207"/>
    </row>
    <row r="80" spans="3:15" ht="15.75">
      <c r="C80" s="111">
        <v>42181</v>
      </c>
      <c r="D80" s="34">
        <v>8722.4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42180</v>
      </c>
      <c r="D81" s="34">
        <v>4146.6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3:13" ht="15.75" customHeight="1">
      <c r="C82" s="111"/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152943.93305000002</v>
      </c>
      <c r="E83" s="73"/>
      <c r="F83" s="156" t="s">
        <v>147</v>
      </c>
      <c r="G83" s="214" t="s">
        <v>149</v>
      </c>
      <c r="H83" s="214"/>
      <c r="I83" s="107">
        <v>144034.20084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52" sqref="H5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273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07"/>
      <c r="O79" s="207"/>
    </row>
    <row r="80" spans="3:15" ht="15.75">
      <c r="C80" s="111">
        <v>42152</v>
      </c>
      <c r="D80" s="34">
        <v>5845.4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42151</v>
      </c>
      <c r="D81" s="34">
        <v>3158.7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153606.78</v>
      </c>
      <c r="E83" s="73"/>
      <c r="F83" s="156" t="s">
        <v>147</v>
      </c>
      <c r="G83" s="214" t="s">
        <v>149</v>
      </c>
      <c r="H83" s="214"/>
      <c r="I83" s="107">
        <v>144697.05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5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6" sqref="F7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07"/>
      <c r="O104" s="207"/>
    </row>
    <row r="105" spans="3:15" ht="15.75">
      <c r="C105" s="111">
        <v>42123</v>
      </c>
      <c r="D105" s="34">
        <v>7959.6</v>
      </c>
      <c r="F105" s="201" t="s">
        <v>166</v>
      </c>
      <c r="G105" s="208"/>
      <c r="H105" s="208"/>
      <c r="I105" s="177"/>
      <c r="J105" s="205"/>
      <c r="K105" s="205"/>
      <c r="L105" s="205"/>
      <c r="M105" s="205"/>
      <c r="N105" s="207"/>
      <c r="O105" s="207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206"/>
      <c r="K106" s="206"/>
      <c r="L106" s="206"/>
      <c r="M106" s="206"/>
      <c r="N106" s="207"/>
      <c r="O106" s="207"/>
    </row>
    <row r="107" spans="7:13" ht="15.75" customHeight="1">
      <c r="G107" s="215" t="s">
        <v>234</v>
      </c>
      <c r="H107" s="216"/>
      <c r="I107" s="103">
        <v>0</v>
      </c>
      <c r="J107" s="205"/>
      <c r="K107" s="205"/>
      <c r="L107" s="205"/>
      <c r="M107" s="205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2" t="s">
        <v>147</v>
      </c>
      <c r="G108" s="214" t="s">
        <v>149</v>
      </c>
      <c r="H108" s="214"/>
      <c r="I108" s="107">
        <v>145946.33703</v>
      </c>
      <c r="J108" s="205"/>
      <c r="K108" s="205"/>
      <c r="L108" s="205"/>
      <c r="M108" s="205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07"/>
      <c r="O105" s="207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15" t="s">
        <v>234</v>
      </c>
      <c r="H108" s="216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7"/>
      <c r="O105" s="207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49" t="s">
        <v>155</v>
      </c>
      <c r="H108" s="249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7"/>
      <c r="O103" s="207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4" t="s">
        <v>161</v>
      </c>
      <c r="K104" s="254"/>
      <c r="L104" s="254"/>
      <c r="M104" s="254"/>
      <c r="N104" s="207"/>
      <c r="O104" s="207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07"/>
      <c r="O105" s="207"/>
    </row>
    <row r="106" spans="7:13" ht="15.75" customHeight="1">
      <c r="G106" s="214" t="s">
        <v>148</v>
      </c>
      <c r="H106" s="214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7"/>
      <c r="O138" s="207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4" t="s">
        <v>161</v>
      </c>
      <c r="K139" s="254"/>
      <c r="L139" s="254"/>
      <c r="M139" s="254"/>
      <c r="N139" s="207"/>
      <c r="O139" s="207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07"/>
      <c r="O140" s="207"/>
    </row>
    <row r="141" spans="7:13" ht="15.75" customHeight="1">
      <c r="G141" s="214" t="s">
        <v>148</v>
      </c>
      <c r="H141" s="214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2015-07-16T12:00:10Z</cp:lastPrinted>
  <dcterms:created xsi:type="dcterms:W3CDTF">2003-07-28T11:27:56Z</dcterms:created>
  <dcterms:modified xsi:type="dcterms:W3CDTF">2015-07-16T12:10:25Z</dcterms:modified>
  <cp:category/>
  <cp:version/>
  <cp:contentType/>
  <cp:contentStatus/>
</cp:coreProperties>
</file>